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12" windowHeight="6156" activeTab="0"/>
  </bookViews>
  <sheets>
    <sheet name="DT 2014" sheetId="1" r:id="rId1"/>
  </sheets>
  <definedNames>
    <definedName name="_xlnm.Print_Titles" localSheetId="0">'DT 2014'!$6:$7</definedName>
  </definedNames>
  <calcPr fullCalcOnLoad="1"/>
</workbook>
</file>

<file path=xl/sharedStrings.xml><?xml version="1.0" encoding="utf-8"?>
<sst xmlns="http://schemas.openxmlformats.org/spreadsheetml/2006/main" count="111" uniqueCount="98">
  <si>
    <t>B. THU ĐỂ LẠI CHI QUẢN LÝ QUA NSNN</t>
  </si>
  <si>
    <t>NỘI DUNG</t>
  </si>
  <si>
    <t>TỔNG THU NSNN TRÊN ĐỊA BÀN (A+B)</t>
  </si>
  <si>
    <t>A. THU CÂN ĐỐI NSNN (I+II)</t>
  </si>
  <si>
    <t>I. Thu nội địa</t>
  </si>
  <si>
    <t xml:space="preserve"> - Thuế thu nhập doanh nghiệp</t>
  </si>
  <si>
    <t xml:space="preserve"> - Thuế tài nguyên</t>
  </si>
  <si>
    <t xml:space="preserve"> - Thuế môn bài</t>
  </si>
  <si>
    <t xml:space="preserve"> - Thu hồi vốn và thu khác</t>
  </si>
  <si>
    <t>2. Thu từ DNNN địa phương</t>
  </si>
  <si>
    <t xml:space="preserve"> - Thuế TTĐB hàng hoá, dịch vụ trong nước</t>
  </si>
  <si>
    <t xml:space="preserve"> - Thuế TTĐB hàng hoá dịch vụ trong nước</t>
  </si>
  <si>
    <t xml:space="preserve"> - Thu khác ngoài quốc doanh</t>
  </si>
  <si>
    <t xml:space="preserve"> - Phí, lệ phí trung ương</t>
  </si>
  <si>
    <t xml:space="preserve"> - Phí, lệ phí địa phương</t>
  </si>
  <si>
    <t xml:space="preserve"> Tr.đó: - Thuế XK, NK, TTĐB</t>
  </si>
  <si>
    <t xml:space="preserve">            - Thuế VAT hàng nhập khẩu</t>
  </si>
  <si>
    <t>B. THU ĐỂ LẠI CHI QL QUA NS</t>
  </si>
  <si>
    <t xml:space="preserve"> - Thu xổ số kiến thiết</t>
  </si>
  <si>
    <t xml:space="preserve"> - Thu chuyển nguồn Xổ số kiến thiết</t>
  </si>
  <si>
    <t xml:space="preserve"> - Học phí</t>
  </si>
  <si>
    <t xml:space="preserve"> - Viện phí</t>
  </si>
  <si>
    <t xml:space="preserve"> - Viện trợ không hoàn lại</t>
  </si>
  <si>
    <t>A. THU CÂN ĐỐI NGÂN SÁCH</t>
  </si>
  <si>
    <t>1. Thu nội địa</t>
  </si>
  <si>
    <t>2. Thu bổ sung từ NSTW</t>
  </si>
  <si>
    <t>2.1 Thu bổ sung cân đối ngân sách</t>
  </si>
  <si>
    <t>2.2 Thu bổ sung có mục tiêu</t>
  </si>
  <si>
    <t>3. Thu vay đầu tư XDCSHT</t>
  </si>
  <si>
    <t>4. Thu chuyển nguồn ngân sách năm trước</t>
  </si>
  <si>
    <t>5. Thu kết dư ngân sách năm trước</t>
  </si>
  <si>
    <t>TỔNG THU NSĐP (A+B)</t>
  </si>
  <si>
    <t xml:space="preserve">                 </t>
  </si>
  <si>
    <t xml:space="preserve">   Trong đó: - Vốn đầu tư</t>
  </si>
  <si>
    <t xml:space="preserve">                    - Vốn sự nghiệp</t>
  </si>
  <si>
    <t>TỔNG CHI NSĐP</t>
  </si>
  <si>
    <t xml:space="preserve"> - Thu phí tham quan</t>
  </si>
  <si>
    <t xml:space="preserve"> - Thu phạt an toàn giao thông</t>
  </si>
  <si>
    <t xml:space="preserve"> - Thuế TTĐB hàng hóa, dịch vụ trong nước</t>
  </si>
  <si>
    <t xml:space="preserve"> - Các khoản đóng góp khác</t>
  </si>
  <si>
    <t xml:space="preserve"> - Các khoản huy động đóng góp XD CSHT</t>
  </si>
  <si>
    <t>So sánh</t>
  </si>
  <si>
    <t>HĐND tỉnh giao</t>
  </si>
  <si>
    <t>Thực hiện đến 30/6/2011</t>
  </si>
  <si>
    <t>Trung ương giao</t>
  </si>
  <si>
    <t>ĐVT: Triệu đồng</t>
  </si>
  <si>
    <t>3. Thu từ DN có vốn đầu tư nước ngoài</t>
  </si>
  <si>
    <t>4. Thu từ các thành phần KT ngoài QD</t>
  </si>
  <si>
    <t>5. Lệ phí trước bạ</t>
  </si>
  <si>
    <t>6. Thuế sử dụng đất nông nghiệp</t>
  </si>
  <si>
    <t>11. Thuế chuyển quyền SD đất</t>
  </si>
  <si>
    <t xml:space="preserve"> - Thu tiền thuê đất</t>
  </si>
  <si>
    <t xml:space="preserve"> - Thu khác</t>
  </si>
  <si>
    <t>II. Thu xuất, nhập khẩu</t>
  </si>
  <si>
    <t xml:space="preserve">                    - BSMT bằng vốn nước ngoài</t>
  </si>
  <si>
    <t xml:space="preserve">    Trong đó: Tiền sử dụng đất</t>
  </si>
  <si>
    <t>CHỦ TỊCH</t>
  </si>
  <si>
    <t>TM.UỶ BAN NHÂN DÂN</t>
  </si>
  <si>
    <t>Thực hiện 2011</t>
  </si>
  <si>
    <t>1. Thu từ DNNN trung ương</t>
  </si>
  <si>
    <t xml:space="preserve"> - Thuế giá trị gia tăng</t>
  </si>
  <si>
    <t xml:space="preserve"> - Thuế giá  trị gia tăng</t>
  </si>
  <si>
    <t xml:space="preserve"> - Thu viện trợ</t>
  </si>
  <si>
    <t xml:space="preserve">                    - Vốn CT MTQG</t>
  </si>
  <si>
    <t xml:space="preserve">     + Bổ sung chi thường xuyên (đang xin TW)</t>
  </si>
  <si>
    <t>6. Thuế nhà đất/SDĐ phi nông nghiệp</t>
  </si>
  <si>
    <t>7. Thuế thu nhập cá nhân</t>
  </si>
  <si>
    <t>8. Thu phí xăng dầu/Thuế bảo vệ môi trường</t>
  </si>
  <si>
    <t>9. Thu phí, lệ phí</t>
  </si>
  <si>
    <t>10. Tiền sử dụng đất và thuê đất một lần</t>
  </si>
  <si>
    <t>11. Thu tiền cho thuê mặt đất, mặt nước</t>
  </si>
  <si>
    <t>12. Thu tiền bán, thuê nhà ở thuộc SHNN</t>
  </si>
  <si>
    <t>13. Thu khác ngân sách</t>
  </si>
  <si>
    <t>14. Các khoản thu khác do xã thu</t>
  </si>
  <si>
    <t>Quảng Nam, ngày        tháng      năm 2012</t>
  </si>
  <si>
    <t>UBND TỈNH QUẢNG NAM</t>
  </si>
  <si>
    <t xml:space="preserve">          SỞ TÀI CHÍNH</t>
  </si>
  <si>
    <t xml:space="preserve">Chuyển nguồn: </t>
  </si>
  <si>
    <t xml:space="preserve"> CCTL</t>
  </si>
  <si>
    <t>Đào tạo</t>
  </si>
  <si>
    <t>Giáo dục</t>
  </si>
  <si>
    <t>NĐ 49</t>
  </si>
  <si>
    <t>NĐ 67-13</t>
  </si>
  <si>
    <t>(Kèm theo Quyết định số: 4122/QĐ-UBND ngày 14 tháng 12 năm 2012 của UBND tỉnh Quảng Nam)</t>
  </si>
  <si>
    <t>DỰ TOÁN 2013</t>
  </si>
  <si>
    <t>Ước thực hiện 2013</t>
  </si>
  <si>
    <t>Dự toán 2014</t>
  </si>
  <si>
    <t xml:space="preserve"> Trong đó: Phí BVMT khai thác khoáng sản</t>
  </si>
  <si>
    <t xml:space="preserve">      Trong đó: Thu từ DN nước ngoài</t>
  </si>
  <si>
    <t>DT14/
ƯTH13</t>
  </si>
  <si>
    <t>TỔNG HỢP DỰ TOÁN THU NSNN NĂM 2014</t>
  </si>
  <si>
    <t xml:space="preserve">     + Bổ sung CTMTQG</t>
  </si>
  <si>
    <t xml:space="preserve">     + Bổ sung chi thường xuyên</t>
  </si>
  <si>
    <t>2.2.1. Bổ sung trong dự toán</t>
  </si>
  <si>
    <t>2.2.2. Bổ sung thực hiện CCTL</t>
  </si>
  <si>
    <t>2.2.3. Bổ sung ngoài dự toán</t>
  </si>
  <si>
    <t xml:space="preserve">      Trong đó: Thu phạt ATGT</t>
  </si>
  <si>
    <t>DT14/
DT13 (TW giao)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</si>
</sst>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"/>
    <numFmt numFmtId="181" formatCode="0.000"/>
    <numFmt numFmtId="182" formatCode="#,##0.0"/>
    <numFmt numFmtId="183" formatCode="0.0"/>
    <numFmt numFmtId="184" formatCode="#,##0.000"/>
    <numFmt numFmtId="185" formatCode="0.000000"/>
    <numFmt numFmtId="186" formatCode="0.0000000"/>
    <numFmt numFmtId="187" formatCode="0.00000"/>
    <numFmt numFmtId="188" formatCode="[$-409]dddd\,\ mmmm\ dd\,\ yyyy"/>
    <numFmt numFmtId="189" formatCode="[$-409]h:mm:ss\ AM/PM"/>
    <numFmt numFmtId="190" formatCode="#,##0.0000"/>
  </numFmts>
  <fonts count="3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10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2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3" fontId="5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2" fontId="2" fillId="0" borderId="13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4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3" fontId="5" fillId="0" borderId="12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2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7" fillId="0" borderId="16" xfId="0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2" fillId="0" borderId="12" xfId="0" applyNumberFormat="1" applyFont="1" applyBorder="1" applyAlignment="1">
      <alignment horizontal="center"/>
    </xf>
    <xf numFmtId="3" fontId="1" fillId="24" borderId="12" xfId="0" applyNumberFormat="1" applyFont="1" applyFill="1" applyBorder="1" applyAlignment="1">
      <alignment/>
    </xf>
    <xf numFmtId="3" fontId="5" fillId="24" borderId="12" xfId="0" applyNumberFormat="1" applyFont="1" applyFill="1" applyBorder="1" applyAlignment="1">
      <alignment/>
    </xf>
    <xf numFmtId="3" fontId="2" fillId="24" borderId="13" xfId="0" applyNumberFormat="1" applyFont="1" applyFill="1" applyBorder="1" applyAlignment="1">
      <alignment/>
    </xf>
    <xf numFmtId="3" fontId="2" fillId="24" borderId="10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26" fillId="0" borderId="12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2" fillId="24" borderId="0" xfId="0" applyFont="1" applyFill="1" applyAlignment="1">
      <alignment/>
    </xf>
    <xf numFmtId="3" fontId="27" fillId="0" borderId="12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3" fontId="28" fillId="0" borderId="12" xfId="0" applyNumberFormat="1" applyFont="1" applyBorder="1" applyAlignment="1">
      <alignment/>
    </xf>
    <xf numFmtId="3" fontId="29" fillId="0" borderId="12" xfId="0" applyNumberFormat="1" applyFont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right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PageLayoutView="0" workbookViewId="0" topLeftCell="A1">
      <pane xSplit="1" ySplit="9" topLeftCell="C5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G6" sqref="G6:G7"/>
    </sheetView>
  </sheetViews>
  <sheetFormatPr defaultColWidth="9.140625" defaultRowHeight="12.75"/>
  <cols>
    <col min="1" max="1" width="43.8515625" style="1" customWidth="1"/>
    <col min="2" max="2" width="10.7109375" style="21" hidden="1" customWidth="1"/>
    <col min="3" max="3" width="10.28125" style="1" customWidth="1"/>
    <col min="4" max="4" width="11.28125" style="1" customWidth="1"/>
    <col min="5" max="5" width="11.57421875" style="1" hidden="1" customWidth="1"/>
    <col min="6" max="6" width="11.00390625" style="1" customWidth="1"/>
    <col min="7" max="7" width="11.421875" style="1" customWidth="1"/>
    <col min="8" max="8" width="10.00390625" style="1" customWidth="1"/>
    <col min="9" max="9" width="9.7109375" style="1" customWidth="1"/>
    <col min="10" max="10" width="15.28125" style="1" customWidth="1"/>
    <col min="11" max="11" width="17.421875" style="21" customWidth="1"/>
    <col min="12" max="16384" width="9.140625" style="1" customWidth="1"/>
  </cols>
  <sheetData>
    <row r="1" spans="1:2" ht="15">
      <c r="A1" s="2" t="s">
        <v>75</v>
      </c>
      <c r="B1" s="37"/>
    </row>
    <row r="2" spans="1:2" ht="15" customHeight="1" hidden="1">
      <c r="A2" s="2" t="s">
        <v>76</v>
      </c>
      <c r="B2" s="37"/>
    </row>
    <row r="3" spans="1:9" ht="15.75" customHeight="1">
      <c r="A3" s="65" t="s">
        <v>90</v>
      </c>
      <c r="B3" s="65"/>
      <c r="C3" s="65"/>
      <c r="D3" s="65"/>
      <c r="E3" s="65"/>
      <c r="F3" s="65"/>
      <c r="G3" s="65"/>
      <c r="H3" s="65"/>
      <c r="I3" s="65"/>
    </row>
    <row r="4" spans="1:9" ht="16.5" customHeight="1" hidden="1">
      <c r="A4" s="62" t="s">
        <v>83</v>
      </c>
      <c r="B4" s="62"/>
      <c r="C4" s="62"/>
      <c r="D4" s="62"/>
      <c r="E4" s="62"/>
      <c r="F4" s="62"/>
      <c r="G4" s="62"/>
      <c r="H4" s="62"/>
      <c r="I4" s="62"/>
    </row>
    <row r="5" spans="3:9" ht="15">
      <c r="C5" s="69" t="s">
        <v>45</v>
      </c>
      <c r="D5" s="69"/>
      <c r="E5" s="69"/>
      <c r="F5" s="69"/>
      <c r="G5" s="69"/>
      <c r="H5" s="69"/>
      <c r="I5" s="69"/>
    </row>
    <row r="6" spans="1:9" ht="20.25" customHeight="1">
      <c r="A6" s="63" t="s">
        <v>1</v>
      </c>
      <c r="B6" s="70" t="s">
        <v>58</v>
      </c>
      <c r="C6" s="67" t="s">
        <v>84</v>
      </c>
      <c r="D6" s="68"/>
      <c r="E6" s="63" t="s">
        <v>43</v>
      </c>
      <c r="F6" s="63" t="s">
        <v>85</v>
      </c>
      <c r="G6" s="63" t="s">
        <v>86</v>
      </c>
      <c r="H6" s="66" t="s">
        <v>41</v>
      </c>
      <c r="I6" s="66"/>
    </row>
    <row r="7" spans="1:9" ht="47.25" customHeight="1">
      <c r="A7" s="64"/>
      <c r="B7" s="71"/>
      <c r="C7" s="3" t="s">
        <v>44</v>
      </c>
      <c r="D7" s="3" t="s">
        <v>42</v>
      </c>
      <c r="E7" s="64"/>
      <c r="F7" s="64"/>
      <c r="G7" s="64"/>
      <c r="H7" s="33" t="s">
        <v>89</v>
      </c>
      <c r="I7" s="33" t="s">
        <v>97</v>
      </c>
    </row>
    <row r="8" spans="1:9" ht="15" hidden="1">
      <c r="A8" s="23"/>
      <c r="B8" s="38"/>
      <c r="C8" s="4"/>
      <c r="D8" s="4"/>
      <c r="E8" s="4"/>
      <c r="F8" s="4"/>
      <c r="G8" s="4"/>
      <c r="H8" s="4"/>
      <c r="I8" s="32"/>
    </row>
    <row r="9" spans="1:9" ht="15">
      <c r="A9" s="5" t="s">
        <v>2</v>
      </c>
      <c r="B9" s="6">
        <f aca="true" t="shared" si="0" ref="B9:G9">+B10+B62</f>
        <v>6826810</v>
      </c>
      <c r="C9" s="6">
        <f t="shared" si="0"/>
        <v>5888000</v>
      </c>
      <c r="D9" s="6">
        <f t="shared" si="0"/>
        <v>6783000</v>
      </c>
      <c r="E9" s="6">
        <f t="shared" si="0"/>
        <v>3496151.8</v>
      </c>
      <c r="F9" s="6">
        <f t="shared" si="0"/>
        <v>6160000</v>
      </c>
      <c r="G9" s="6">
        <f t="shared" si="0"/>
        <v>6900000</v>
      </c>
      <c r="H9" s="9">
        <f>G9/F9*100</f>
        <v>112.01298701298701</v>
      </c>
      <c r="I9" s="9">
        <f>G9/C9*100</f>
        <v>117.1875</v>
      </c>
    </row>
    <row r="10" spans="1:9" ht="15">
      <c r="A10" s="7" t="s">
        <v>3</v>
      </c>
      <c r="B10" s="8">
        <f aca="true" t="shared" si="1" ref="B10:G10">+B11+B59</f>
        <v>6211250</v>
      </c>
      <c r="C10" s="8">
        <f t="shared" si="1"/>
        <v>5888000</v>
      </c>
      <c r="D10" s="8">
        <f t="shared" si="1"/>
        <v>6038000</v>
      </c>
      <c r="E10" s="8">
        <f t="shared" si="1"/>
        <v>3379726</v>
      </c>
      <c r="F10" s="8">
        <f t="shared" si="1"/>
        <v>5830000</v>
      </c>
      <c r="G10" s="8">
        <f t="shared" si="1"/>
        <v>6570000</v>
      </c>
      <c r="H10" s="9">
        <f aca="true" t="shared" si="2" ref="H10:H77">G10/F10*100</f>
        <v>112.69296740994854</v>
      </c>
      <c r="I10" s="9">
        <f>G10/C10*100</f>
        <v>111.58288043478262</v>
      </c>
    </row>
    <row r="11" spans="1:12" ht="15">
      <c r="A11" s="10" t="s">
        <v>4</v>
      </c>
      <c r="B11" s="11">
        <f aca="true" t="shared" si="3" ref="B11:G11">+B12+B19+B26+B34+B41+B42+B43+B44+B45+B46+B50+B51+B53+B55+B56+B58</f>
        <v>4185912</v>
      </c>
      <c r="C11" s="11">
        <f t="shared" si="3"/>
        <v>4328000</v>
      </c>
      <c r="D11" s="11">
        <f t="shared" si="3"/>
        <v>4478000</v>
      </c>
      <c r="E11" s="11">
        <f t="shared" si="3"/>
        <v>2100531</v>
      </c>
      <c r="F11" s="11">
        <f t="shared" si="3"/>
        <v>4480000</v>
      </c>
      <c r="G11" s="11">
        <f t="shared" si="3"/>
        <v>5000000</v>
      </c>
      <c r="H11" s="12">
        <f t="shared" si="2"/>
        <v>111.60714285714286</v>
      </c>
      <c r="I11" s="12">
        <f>G11/C11*100</f>
        <v>115.5268022181146</v>
      </c>
      <c r="J11" s="21">
        <f>C11-C51</f>
        <v>3850000</v>
      </c>
      <c r="K11" s="21">
        <f>D11-D51</f>
        <v>4000000</v>
      </c>
      <c r="L11" s="1">
        <f>K11/J11*100</f>
        <v>103.89610389610388</v>
      </c>
    </row>
    <row r="12" spans="1:10" ht="15">
      <c r="A12" s="10" t="s">
        <v>59</v>
      </c>
      <c r="B12" s="11">
        <f>SUM(B13:B18)</f>
        <v>307834</v>
      </c>
      <c r="C12" s="11">
        <f>+C13+C14+C15+C16+C17+C18</f>
        <v>490000</v>
      </c>
      <c r="D12" s="11">
        <f>+D13+D14+D15+D16+D17+D18</f>
        <v>490000</v>
      </c>
      <c r="E12" s="11">
        <f>+E13+E14+E15+E16+E17+E18</f>
        <v>218062</v>
      </c>
      <c r="F12" s="11">
        <f>+F13+F14+F15+F16+F17+F18</f>
        <v>322000</v>
      </c>
      <c r="G12" s="11">
        <f>+G13+G14+G15+G16+G17+G18</f>
        <v>390000</v>
      </c>
      <c r="H12" s="12">
        <f t="shared" si="2"/>
        <v>121.11801242236024</v>
      </c>
      <c r="I12" s="12">
        <f>G12/C12*100</f>
        <v>79.59183673469387</v>
      </c>
      <c r="J12" s="1">
        <f>D11/C11*100</f>
        <v>103.46580406654344</v>
      </c>
    </row>
    <row r="13" spans="1:9" ht="15">
      <c r="A13" s="13" t="s">
        <v>60</v>
      </c>
      <c r="B13" s="14">
        <v>240466</v>
      </c>
      <c r="C13" s="14">
        <v>379700</v>
      </c>
      <c r="D13" s="14">
        <v>379700</v>
      </c>
      <c r="E13" s="14">
        <v>147094</v>
      </c>
      <c r="F13" s="14">
        <v>251700</v>
      </c>
      <c r="G13" s="14">
        <v>321220</v>
      </c>
      <c r="H13" s="15">
        <f t="shared" si="2"/>
        <v>127.62018275725069</v>
      </c>
      <c r="I13" s="15">
        <f>G13/C13*100</f>
        <v>84.59836713194628</v>
      </c>
    </row>
    <row r="14" spans="1:9" ht="15">
      <c r="A14" s="13" t="s">
        <v>5</v>
      </c>
      <c r="B14" s="14">
        <v>20275</v>
      </c>
      <c r="C14" s="14">
        <v>22000</v>
      </c>
      <c r="D14" s="14">
        <v>22000</v>
      </c>
      <c r="E14" s="14">
        <v>45419</v>
      </c>
      <c r="F14" s="14">
        <f>13000+5000</f>
        <v>18000</v>
      </c>
      <c r="G14" s="14">
        <v>13500</v>
      </c>
      <c r="H14" s="15">
        <f t="shared" si="2"/>
        <v>75</v>
      </c>
      <c r="I14" s="15">
        <f aca="true" t="shared" si="4" ref="I14:I78">G14/C14*100</f>
        <v>61.36363636363637</v>
      </c>
    </row>
    <row r="15" spans="1:9" ht="15" hidden="1">
      <c r="A15" s="13" t="s">
        <v>38</v>
      </c>
      <c r="B15" s="39"/>
      <c r="D15" s="14"/>
      <c r="E15" s="14">
        <v>458</v>
      </c>
      <c r="F15" s="14"/>
      <c r="G15" s="14"/>
      <c r="H15" s="15"/>
      <c r="I15" s="15" t="e">
        <f t="shared" si="4"/>
        <v>#DIV/0!</v>
      </c>
    </row>
    <row r="16" spans="1:9" ht="15">
      <c r="A16" s="13" t="s">
        <v>6</v>
      </c>
      <c r="B16" s="14">
        <v>46811</v>
      </c>
      <c r="C16" s="14">
        <v>88000</v>
      </c>
      <c r="D16" s="14">
        <v>88000</v>
      </c>
      <c r="E16" s="14">
        <v>23655</v>
      </c>
      <c r="F16" s="14">
        <v>49000</v>
      </c>
      <c r="G16" s="14">
        <v>55000</v>
      </c>
      <c r="H16" s="15">
        <f t="shared" si="2"/>
        <v>112.24489795918366</v>
      </c>
      <c r="I16" s="15">
        <f t="shared" si="4"/>
        <v>62.5</v>
      </c>
    </row>
    <row r="17" spans="1:9" ht="15">
      <c r="A17" s="13" t="s">
        <v>7</v>
      </c>
      <c r="B17" s="14">
        <v>282</v>
      </c>
      <c r="C17" s="14">
        <v>300</v>
      </c>
      <c r="D17" s="14">
        <v>300</v>
      </c>
      <c r="E17" s="14">
        <v>677</v>
      </c>
      <c r="F17" s="14">
        <v>300</v>
      </c>
      <c r="G17" s="14">
        <v>280</v>
      </c>
      <c r="H17" s="15">
        <f t="shared" si="2"/>
        <v>93.33333333333333</v>
      </c>
      <c r="I17" s="15">
        <f t="shared" si="4"/>
        <v>93.33333333333333</v>
      </c>
    </row>
    <row r="18" spans="1:9" ht="15">
      <c r="A18" s="13" t="s">
        <v>8</v>
      </c>
      <c r="B18" s="14"/>
      <c r="C18" s="14"/>
      <c r="D18" s="14"/>
      <c r="E18" s="14">
        <v>759</v>
      </c>
      <c r="F18" s="59">
        <f>1000+2000</f>
        <v>3000</v>
      </c>
      <c r="G18" s="14"/>
      <c r="H18" s="15"/>
      <c r="I18" s="15"/>
    </row>
    <row r="19" spans="1:9" ht="15.75" customHeight="1">
      <c r="A19" s="10" t="s">
        <v>9</v>
      </c>
      <c r="B19" s="11">
        <f>SUM(B20:B25)</f>
        <v>143666</v>
      </c>
      <c r="C19" s="11">
        <f>SUM(C20:C25)</f>
        <v>170000</v>
      </c>
      <c r="D19" s="11">
        <f>SUM(D20:D25)</f>
        <v>170000</v>
      </c>
      <c r="E19" s="11"/>
      <c r="F19" s="11">
        <f>SUM(F20:F25)</f>
        <v>203000</v>
      </c>
      <c r="G19" s="11">
        <f>SUM(G20:G25)</f>
        <v>220000</v>
      </c>
      <c r="H19" s="12">
        <f t="shared" si="2"/>
        <v>108.37438423645321</v>
      </c>
      <c r="I19" s="12">
        <f t="shared" si="4"/>
        <v>129.41176470588235</v>
      </c>
    </row>
    <row r="20" spans="1:9" ht="15.75" customHeight="1">
      <c r="A20" s="13" t="s">
        <v>61</v>
      </c>
      <c r="B20" s="14">
        <f>321085-B13</f>
        <v>80619</v>
      </c>
      <c r="C20" s="14">
        <v>93700</v>
      </c>
      <c r="D20" s="14">
        <v>93700</v>
      </c>
      <c r="E20" s="14"/>
      <c r="F20" s="14">
        <v>109000</v>
      </c>
      <c r="G20" s="14">
        <v>123000</v>
      </c>
      <c r="H20" s="15">
        <f t="shared" si="2"/>
        <v>112.8440366972477</v>
      </c>
      <c r="I20" s="15">
        <f t="shared" si="4"/>
        <v>131.27001067235858</v>
      </c>
    </row>
    <row r="21" spans="1:9" ht="15.75" customHeight="1">
      <c r="A21" s="13" t="s">
        <v>5</v>
      </c>
      <c r="B21" s="14">
        <f>58664-B14</f>
        <v>38389</v>
      </c>
      <c r="C21" s="14">
        <v>53000</v>
      </c>
      <c r="D21" s="14">
        <v>53000</v>
      </c>
      <c r="E21" s="14"/>
      <c r="F21" s="14">
        <v>66000</v>
      </c>
      <c r="G21" s="14">
        <v>75000</v>
      </c>
      <c r="H21" s="15">
        <f t="shared" si="2"/>
        <v>113.63636363636364</v>
      </c>
      <c r="I21" s="15">
        <f t="shared" si="4"/>
        <v>141.50943396226415</v>
      </c>
    </row>
    <row r="22" spans="1:9" ht="15.75" customHeight="1">
      <c r="A22" s="13" t="s">
        <v>10</v>
      </c>
      <c r="B22" s="14">
        <v>834</v>
      </c>
      <c r="C22" s="14">
        <v>900</v>
      </c>
      <c r="D22" s="14">
        <v>900</v>
      </c>
      <c r="E22" s="14"/>
      <c r="F22" s="14">
        <v>600</v>
      </c>
      <c r="G22" s="14">
        <v>700</v>
      </c>
      <c r="H22" s="15">
        <f t="shared" si="2"/>
        <v>116.66666666666667</v>
      </c>
      <c r="I22" s="15">
        <f t="shared" si="4"/>
        <v>77.77777777777779</v>
      </c>
    </row>
    <row r="23" spans="1:9" ht="15.75" customHeight="1">
      <c r="A23" s="13" t="s">
        <v>6</v>
      </c>
      <c r="B23" s="14">
        <f>70230-B16</f>
        <v>23419</v>
      </c>
      <c r="C23" s="14">
        <v>22000</v>
      </c>
      <c r="D23" s="14">
        <v>22000</v>
      </c>
      <c r="E23" s="14"/>
      <c r="F23" s="14">
        <v>22000</v>
      </c>
      <c r="G23" s="14">
        <v>21000</v>
      </c>
      <c r="H23" s="15">
        <f t="shared" si="2"/>
        <v>95.45454545454545</v>
      </c>
      <c r="I23" s="15">
        <f t="shared" si="4"/>
        <v>95.45454545454545</v>
      </c>
    </row>
    <row r="24" spans="1:9" ht="15.75" customHeight="1">
      <c r="A24" s="13" t="s">
        <v>7</v>
      </c>
      <c r="B24" s="14">
        <f>687-B17</f>
        <v>405</v>
      </c>
      <c r="C24" s="14">
        <v>400</v>
      </c>
      <c r="D24" s="14">
        <v>400</v>
      </c>
      <c r="E24" s="14"/>
      <c r="F24" s="14">
        <v>400</v>
      </c>
      <c r="G24" s="14">
        <v>300</v>
      </c>
      <c r="H24" s="15">
        <f t="shared" si="2"/>
        <v>75</v>
      </c>
      <c r="I24" s="15">
        <f t="shared" si="4"/>
        <v>75</v>
      </c>
    </row>
    <row r="25" spans="1:9" ht="15.75" customHeight="1">
      <c r="A25" s="13" t="s">
        <v>8</v>
      </c>
      <c r="B25" s="14"/>
      <c r="C25" s="14"/>
      <c r="D25" s="14"/>
      <c r="E25" s="14"/>
      <c r="F25" s="59">
        <f>2000+3000</f>
        <v>5000</v>
      </c>
      <c r="G25" s="14"/>
      <c r="H25" s="15">
        <f t="shared" si="2"/>
        <v>0</v>
      </c>
      <c r="I25" s="15"/>
    </row>
    <row r="26" spans="1:9" ht="15">
      <c r="A26" s="10" t="s">
        <v>46</v>
      </c>
      <c r="B26" s="11">
        <f>SUM(B27:B33)</f>
        <v>470047</v>
      </c>
      <c r="C26" s="11">
        <f>+C27+C30+C31+C32+C28+C29+C33</f>
        <v>642000</v>
      </c>
      <c r="D26" s="11">
        <f>+D27+D30+D31+D32+D28+D29+D33</f>
        <v>672000</v>
      </c>
      <c r="E26" s="11">
        <f>+E27+E30+E31+E32+E28+E29</f>
        <v>197463</v>
      </c>
      <c r="F26" s="11">
        <f>+F27+F30+F31+F32+F28+F29+F33</f>
        <v>614000</v>
      </c>
      <c r="G26" s="11">
        <f>+G27+G30+G31+G32+G28+G29+G33</f>
        <v>679000</v>
      </c>
      <c r="H26" s="12">
        <f t="shared" si="2"/>
        <v>110.58631921824104</v>
      </c>
      <c r="I26" s="12">
        <f t="shared" si="4"/>
        <v>105.7632398753894</v>
      </c>
    </row>
    <row r="27" spans="1:9" ht="15">
      <c r="A27" s="13" t="s">
        <v>60</v>
      </c>
      <c r="B27" s="14">
        <v>125229</v>
      </c>
      <c r="C27" s="14">
        <v>159760</v>
      </c>
      <c r="D27" s="14">
        <v>159760</v>
      </c>
      <c r="E27" s="14">
        <v>68668</v>
      </c>
      <c r="F27" s="14">
        <v>207000</v>
      </c>
      <c r="G27" s="14">
        <f>243980+2770</f>
        <v>246750</v>
      </c>
      <c r="H27" s="15">
        <f t="shared" si="2"/>
        <v>119.20289855072464</v>
      </c>
      <c r="I27" s="15">
        <f t="shared" si="4"/>
        <v>154.4504256384577</v>
      </c>
    </row>
    <row r="28" spans="1:9" ht="15">
      <c r="A28" s="13" t="s">
        <v>5</v>
      </c>
      <c r="B28" s="14">
        <v>145730</v>
      </c>
      <c r="C28" s="14">
        <v>200000</v>
      </c>
      <c r="D28" s="14">
        <v>200000</v>
      </c>
      <c r="E28" s="14">
        <v>74173</v>
      </c>
      <c r="F28" s="14">
        <v>90000</v>
      </c>
      <c r="G28" s="14">
        <v>110000</v>
      </c>
      <c r="H28" s="15">
        <f t="shared" si="2"/>
        <v>122.22222222222223</v>
      </c>
      <c r="I28" s="15">
        <f t="shared" si="4"/>
        <v>55.00000000000001</v>
      </c>
    </row>
    <row r="29" spans="1:9" ht="15">
      <c r="A29" s="13" t="s">
        <v>10</v>
      </c>
      <c r="B29" s="14">
        <v>76383</v>
      </c>
      <c r="C29" s="14">
        <v>85000</v>
      </c>
      <c r="D29" s="14">
        <v>85000</v>
      </c>
      <c r="E29" s="14">
        <v>36722</v>
      </c>
      <c r="F29" s="14">
        <v>107000</v>
      </c>
      <c r="G29" s="14">
        <v>101000</v>
      </c>
      <c r="H29" s="15">
        <f t="shared" si="2"/>
        <v>94.39252336448598</v>
      </c>
      <c r="I29" s="15">
        <f t="shared" si="4"/>
        <v>118.82352941176471</v>
      </c>
    </row>
    <row r="30" spans="1:9" ht="15">
      <c r="A30" s="13" t="s">
        <v>6</v>
      </c>
      <c r="B30" s="14">
        <v>122487</v>
      </c>
      <c r="C30" s="14">
        <v>197000</v>
      </c>
      <c r="D30" s="14">
        <v>227000</v>
      </c>
      <c r="E30" s="14">
        <v>17697</v>
      </c>
      <c r="F30" s="14">
        <v>205770</v>
      </c>
      <c r="G30" s="14">
        <v>221000</v>
      </c>
      <c r="H30" s="15">
        <f t="shared" si="2"/>
        <v>107.40146765806482</v>
      </c>
      <c r="I30" s="15">
        <f t="shared" si="4"/>
        <v>112.18274111675126</v>
      </c>
    </row>
    <row r="31" spans="1:9" ht="15">
      <c r="A31" s="13" t="s">
        <v>7</v>
      </c>
      <c r="B31" s="14">
        <v>218</v>
      </c>
      <c r="C31" s="14">
        <v>240</v>
      </c>
      <c r="D31" s="14">
        <v>240</v>
      </c>
      <c r="E31" s="14">
        <v>203</v>
      </c>
      <c r="F31" s="14">
        <v>230</v>
      </c>
      <c r="G31" s="14">
        <v>250</v>
      </c>
      <c r="H31" s="15">
        <f t="shared" si="2"/>
        <v>108.69565217391303</v>
      </c>
      <c r="I31" s="15">
        <f t="shared" si="4"/>
        <v>104.16666666666667</v>
      </c>
    </row>
    <row r="32" spans="1:9" ht="15" hidden="1">
      <c r="A32" s="13" t="s">
        <v>51</v>
      </c>
      <c r="B32" s="14"/>
      <c r="C32" s="14"/>
      <c r="D32" s="14"/>
      <c r="E32" s="14"/>
      <c r="F32" s="14"/>
      <c r="G32" s="14"/>
      <c r="H32" s="15"/>
      <c r="I32" s="15" t="e">
        <f t="shared" si="4"/>
        <v>#DIV/0!</v>
      </c>
    </row>
    <row r="33" spans="1:9" ht="15">
      <c r="A33" s="13" t="s">
        <v>52</v>
      </c>
      <c r="B33" s="14"/>
      <c r="C33" s="14"/>
      <c r="D33" s="14"/>
      <c r="E33" s="14"/>
      <c r="F33" s="59">
        <f>2000+2000</f>
        <v>4000</v>
      </c>
      <c r="G33" s="14">
        <f>2770-2770</f>
        <v>0</v>
      </c>
      <c r="H33" s="15"/>
      <c r="I33" s="15"/>
    </row>
    <row r="34" spans="1:9" ht="15">
      <c r="A34" s="10" t="s">
        <v>47</v>
      </c>
      <c r="B34" s="11">
        <f>SUM(B35:B40)</f>
        <v>1986643</v>
      </c>
      <c r="C34" s="11">
        <f>+C35+C36+C37+C38+C39+C40</f>
        <v>2050000</v>
      </c>
      <c r="D34" s="11">
        <f>+D35+D36+D37+D38+D39+D40</f>
        <v>2170000</v>
      </c>
      <c r="E34" s="11">
        <f>+E35+E36+E37+E38+E39+E40</f>
        <v>1039080</v>
      </c>
      <c r="F34" s="11">
        <f>+F35+F36+F37+F38+F39+F40</f>
        <v>2333000</v>
      </c>
      <c r="G34" s="11">
        <f>+G35+G36+G37+G38+G39+G40</f>
        <v>2589000</v>
      </c>
      <c r="H34" s="12">
        <f t="shared" si="2"/>
        <v>110.97299614230604</v>
      </c>
      <c r="I34" s="12">
        <f t="shared" si="4"/>
        <v>126.29268292682927</v>
      </c>
    </row>
    <row r="35" spans="1:10" ht="15">
      <c r="A35" s="13" t="s">
        <v>60</v>
      </c>
      <c r="B35" s="14">
        <v>690828</v>
      </c>
      <c r="C35" s="14">
        <v>698000</v>
      </c>
      <c r="D35" s="14">
        <v>804000</v>
      </c>
      <c r="E35" s="14">
        <v>377623</v>
      </c>
      <c r="F35" s="14">
        <v>910000</v>
      </c>
      <c r="G35" s="14">
        <v>1094500</v>
      </c>
      <c r="H35" s="15">
        <f t="shared" si="2"/>
        <v>120.27472527472527</v>
      </c>
      <c r="I35" s="15">
        <f t="shared" si="4"/>
        <v>156.80515759312323</v>
      </c>
      <c r="J35" s="14">
        <f>267490+66530+521000</f>
        <v>855020</v>
      </c>
    </row>
    <row r="36" spans="1:10" ht="15">
      <c r="A36" s="13" t="s">
        <v>5</v>
      </c>
      <c r="B36" s="14">
        <v>61339</v>
      </c>
      <c r="C36" s="14">
        <v>65000</v>
      </c>
      <c r="D36" s="14">
        <v>65000</v>
      </c>
      <c r="E36" s="14">
        <v>41621</v>
      </c>
      <c r="F36" s="14">
        <v>110000</v>
      </c>
      <c r="G36" s="14">
        <v>80000</v>
      </c>
      <c r="H36" s="15">
        <f t="shared" si="2"/>
        <v>72.72727272727273</v>
      </c>
      <c r="I36" s="15">
        <f t="shared" si="4"/>
        <v>123.07692307692308</v>
      </c>
      <c r="J36" s="14"/>
    </row>
    <row r="37" spans="1:10" ht="15">
      <c r="A37" s="13" t="s">
        <v>11</v>
      </c>
      <c r="B37" s="14">
        <v>1194574</v>
      </c>
      <c r="C37" s="14">
        <v>1249000</v>
      </c>
      <c r="D37" s="14">
        <v>1262920</v>
      </c>
      <c r="E37" s="14">
        <v>588909</v>
      </c>
      <c r="F37" s="14">
        <v>1250000</v>
      </c>
      <c r="G37" s="14">
        <v>1365000</v>
      </c>
      <c r="H37" s="15">
        <f t="shared" si="2"/>
        <v>109.2</v>
      </c>
      <c r="I37" s="15">
        <f t="shared" si="4"/>
        <v>109.28742994395517</v>
      </c>
      <c r="J37" s="14">
        <f>D37-F37</f>
        <v>12920</v>
      </c>
    </row>
    <row r="38" spans="1:10" ht="15">
      <c r="A38" s="13" t="s">
        <v>6</v>
      </c>
      <c r="B38" s="14">
        <v>23051</v>
      </c>
      <c r="C38" s="14">
        <v>20000</v>
      </c>
      <c r="D38" s="14">
        <v>20000</v>
      </c>
      <c r="E38" s="14">
        <v>9038</v>
      </c>
      <c r="F38" s="14">
        <v>23000</v>
      </c>
      <c r="G38" s="14">
        <v>31000</v>
      </c>
      <c r="H38" s="15">
        <f t="shared" si="2"/>
        <v>134.7826086956522</v>
      </c>
      <c r="I38" s="15">
        <f t="shared" si="4"/>
        <v>155</v>
      </c>
      <c r="J38" s="14"/>
    </row>
    <row r="39" spans="1:10" ht="15">
      <c r="A39" s="13" t="s">
        <v>7</v>
      </c>
      <c r="B39" s="14">
        <v>16851</v>
      </c>
      <c r="C39" s="14">
        <v>17500</v>
      </c>
      <c r="D39" s="14">
        <v>17580</v>
      </c>
      <c r="E39" s="14">
        <v>15719</v>
      </c>
      <c r="F39" s="14">
        <v>19500</v>
      </c>
      <c r="G39" s="14">
        <v>18500</v>
      </c>
      <c r="H39" s="15">
        <f t="shared" si="2"/>
        <v>94.87179487179486</v>
      </c>
      <c r="I39" s="15">
        <f t="shared" si="4"/>
        <v>105.71428571428572</v>
      </c>
      <c r="J39" s="14">
        <f>3730+12160+700</f>
        <v>16590</v>
      </c>
    </row>
    <row r="40" spans="1:9" ht="15">
      <c r="A40" s="13" t="s">
        <v>12</v>
      </c>
      <c r="B40" s="14"/>
      <c r="C40" s="14">
        <v>500</v>
      </c>
      <c r="D40" s="14">
        <v>500</v>
      </c>
      <c r="E40" s="14">
        <v>6170</v>
      </c>
      <c r="F40" s="59">
        <f>17500+3000</f>
        <v>20500</v>
      </c>
      <c r="G40" s="14"/>
      <c r="H40" s="15">
        <f t="shared" si="2"/>
        <v>0</v>
      </c>
      <c r="I40" s="15">
        <f t="shared" si="4"/>
        <v>0</v>
      </c>
    </row>
    <row r="41" spans="1:9" ht="15">
      <c r="A41" s="10" t="s">
        <v>48</v>
      </c>
      <c r="B41" s="11">
        <v>90949</v>
      </c>
      <c r="C41" s="11">
        <v>95000</v>
      </c>
      <c r="D41" s="11">
        <v>95000</v>
      </c>
      <c r="E41" s="11">
        <v>40948</v>
      </c>
      <c r="F41" s="58">
        <f>90000+5000</f>
        <v>95000</v>
      </c>
      <c r="G41" s="11">
        <v>110000</v>
      </c>
      <c r="H41" s="12">
        <f t="shared" si="2"/>
        <v>115.78947368421053</v>
      </c>
      <c r="I41" s="12">
        <f t="shared" si="4"/>
        <v>115.78947368421053</v>
      </c>
    </row>
    <row r="42" spans="1:9" ht="15" hidden="1">
      <c r="A42" s="10" t="s">
        <v>49</v>
      </c>
      <c r="B42" s="11">
        <v>45</v>
      </c>
      <c r="C42" s="11"/>
      <c r="D42" s="11"/>
      <c r="E42" s="11">
        <v>10</v>
      </c>
      <c r="F42" s="11"/>
      <c r="G42" s="11"/>
      <c r="H42" s="15"/>
      <c r="I42" s="12" t="e">
        <f t="shared" si="4"/>
        <v>#DIV/0!</v>
      </c>
    </row>
    <row r="43" spans="1:9" ht="15">
      <c r="A43" s="10" t="s">
        <v>65</v>
      </c>
      <c r="B43" s="11">
        <v>11489</v>
      </c>
      <c r="C43" s="11">
        <v>4000</v>
      </c>
      <c r="D43" s="11">
        <v>4000</v>
      </c>
      <c r="E43" s="11">
        <v>8484</v>
      </c>
      <c r="F43" s="11">
        <v>6800</v>
      </c>
      <c r="G43" s="11">
        <v>3000</v>
      </c>
      <c r="H43" s="12">
        <f t="shared" si="2"/>
        <v>44.11764705882353</v>
      </c>
      <c r="I43" s="12">
        <f t="shared" si="4"/>
        <v>75</v>
      </c>
    </row>
    <row r="44" spans="1:9" ht="15">
      <c r="A44" s="10" t="s">
        <v>66</v>
      </c>
      <c r="B44" s="11">
        <v>125165</v>
      </c>
      <c r="C44" s="11">
        <v>152000</v>
      </c>
      <c r="D44" s="11">
        <v>152000</v>
      </c>
      <c r="E44" s="11">
        <v>71783</v>
      </c>
      <c r="F44" s="11">
        <v>158000</v>
      </c>
      <c r="G44" s="11">
        <f>123670+21330</f>
        <v>145000</v>
      </c>
      <c r="H44" s="12">
        <f t="shared" si="2"/>
        <v>91.77215189873418</v>
      </c>
      <c r="I44" s="12">
        <f t="shared" si="4"/>
        <v>95.39473684210526</v>
      </c>
    </row>
    <row r="45" spans="1:9" ht="15">
      <c r="A45" s="10" t="s">
        <v>67</v>
      </c>
      <c r="B45" s="11">
        <v>99093</v>
      </c>
      <c r="C45" s="11">
        <v>110000</v>
      </c>
      <c r="D45" s="11">
        <v>110000</v>
      </c>
      <c r="E45" s="11">
        <v>50739</v>
      </c>
      <c r="F45" s="58">
        <f>105000+5000</f>
        <v>110000</v>
      </c>
      <c r="G45" s="11">
        <f>109200+800</f>
        <v>110000</v>
      </c>
      <c r="H45" s="12">
        <f t="shared" si="2"/>
        <v>100</v>
      </c>
      <c r="I45" s="12">
        <f t="shared" si="4"/>
        <v>100</v>
      </c>
    </row>
    <row r="46" spans="1:9" ht="15">
      <c r="A46" s="10" t="s">
        <v>68</v>
      </c>
      <c r="B46" s="11">
        <f>412551-64481-275636</f>
        <v>72434</v>
      </c>
      <c r="C46" s="11">
        <v>58000</v>
      </c>
      <c r="D46" s="11">
        <v>58000</v>
      </c>
      <c r="E46" s="11">
        <f>32867-887-14411</f>
        <v>17569</v>
      </c>
      <c r="F46" s="11">
        <f>75000</f>
        <v>75000</v>
      </c>
      <c r="G46" s="11">
        <f>44700+15300</f>
        <v>60000</v>
      </c>
      <c r="H46" s="12">
        <f t="shared" si="2"/>
        <v>80</v>
      </c>
      <c r="I46" s="12">
        <f t="shared" si="4"/>
        <v>103.44827586206897</v>
      </c>
    </row>
    <row r="47" spans="1:9" ht="15.75" customHeight="1">
      <c r="A47" s="13" t="s">
        <v>13</v>
      </c>
      <c r="B47" s="14">
        <v>12643</v>
      </c>
      <c r="C47" s="14">
        <v>10000</v>
      </c>
      <c r="D47" s="14">
        <v>10000</v>
      </c>
      <c r="E47" s="14"/>
      <c r="F47" s="14">
        <v>10000</v>
      </c>
      <c r="G47" s="14">
        <v>12000</v>
      </c>
      <c r="H47" s="15">
        <f t="shared" si="2"/>
        <v>120</v>
      </c>
      <c r="I47" s="15">
        <f t="shared" si="4"/>
        <v>120</v>
      </c>
    </row>
    <row r="48" spans="1:9" ht="15.75" customHeight="1">
      <c r="A48" s="13" t="s">
        <v>14</v>
      </c>
      <c r="B48" s="14"/>
      <c r="C48" s="14">
        <v>48000</v>
      </c>
      <c r="D48" s="14">
        <v>48000</v>
      </c>
      <c r="E48" s="14"/>
      <c r="F48" s="14">
        <v>48000</v>
      </c>
      <c r="G48" s="14">
        <v>47000</v>
      </c>
      <c r="H48" s="15">
        <f t="shared" si="2"/>
        <v>97.91666666666666</v>
      </c>
      <c r="I48" s="15">
        <f t="shared" si="4"/>
        <v>97.91666666666666</v>
      </c>
    </row>
    <row r="49" spans="1:9" ht="15.75" customHeight="1" hidden="1">
      <c r="A49" s="16" t="s">
        <v>87</v>
      </c>
      <c r="B49" s="17"/>
      <c r="C49" s="17">
        <v>35000</v>
      </c>
      <c r="D49" s="17"/>
      <c r="E49" s="17"/>
      <c r="F49" s="54"/>
      <c r="G49" s="17"/>
      <c r="H49" s="34"/>
      <c r="I49" s="15">
        <f t="shared" si="4"/>
        <v>0</v>
      </c>
    </row>
    <row r="50" spans="1:9" ht="15">
      <c r="A50" s="10" t="s">
        <v>50</v>
      </c>
      <c r="B50" s="11">
        <v>23</v>
      </c>
      <c r="C50" s="11"/>
      <c r="D50" s="11"/>
      <c r="E50" s="11">
        <v>21</v>
      </c>
      <c r="F50" s="11"/>
      <c r="G50" s="11"/>
      <c r="H50" s="15"/>
      <c r="I50" s="15"/>
    </row>
    <row r="51" spans="1:9" ht="15">
      <c r="A51" s="10" t="s">
        <v>69</v>
      </c>
      <c r="B51" s="11">
        <v>564004</v>
      </c>
      <c r="C51" s="11">
        <v>478000</v>
      </c>
      <c r="D51" s="11">
        <v>478000</v>
      </c>
      <c r="E51" s="11">
        <f>309470</f>
        <v>309470</v>
      </c>
      <c r="F51" s="11">
        <v>450000</v>
      </c>
      <c r="G51" s="60">
        <f>81550+468450</f>
        <v>550000</v>
      </c>
      <c r="H51" s="12">
        <f t="shared" si="2"/>
        <v>122.22222222222223</v>
      </c>
      <c r="I51" s="12">
        <f t="shared" si="4"/>
        <v>115.06276150627615</v>
      </c>
    </row>
    <row r="52" spans="1:9" ht="15" hidden="1">
      <c r="A52" s="16" t="s">
        <v>55</v>
      </c>
      <c r="B52" s="17"/>
      <c r="C52" s="17"/>
      <c r="D52" s="17">
        <f>500000+100000</f>
        <v>600000</v>
      </c>
      <c r="E52" s="17"/>
      <c r="F52" s="17"/>
      <c r="G52" s="17">
        <f>500000+100000</f>
        <v>600000</v>
      </c>
      <c r="H52" s="34"/>
      <c r="I52" s="12" t="e">
        <f t="shared" si="4"/>
        <v>#DIV/0!</v>
      </c>
    </row>
    <row r="53" spans="1:9" ht="15">
      <c r="A53" s="10" t="s">
        <v>70</v>
      </c>
      <c r="B53" s="11">
        <f>70930+94105</f>
        <v>165035</v>
      </c>
      <c r="C53" s="11">
        <f>26000+8000</f>
        <v>34000</v>
      </c>
      <c r="D53" s="11">
        <f>26000+8000</f>
        <v>34000</v>
      </c>
      <c r="E53" s="11">
        <f>11802+98745</f>
        <v>110547</v>
      </c>
      <c r="F53" s="11">
        <f>8000+26000</f>
        <v>34000</v>
      </c>
      <c r="G53" s="11">
        <f>8000+26000</f>
        <v>34000</v>
      </c>
      <c r="H53" s="12">
        <f t="shared" si="2"/>
        <v>100</v>
      </c>
      <c r="I53" s="12">
        <f t="shared" si="4"/>
        <v>100</v>
      </c>
    </row>
    <row r="54" spans="1:9" ht="15">
      <c r="A54" s="16" t="s">
        <v>88</v>
      </c>
      <c r="B54" s="17"/>
      <c r="C54" s="17">
        <v>8000</v>
      </c>
      <c r="D54" s="17">
        <v>8000</v>
      </c>
      <c r="E54" s="17"/>
      <c r="F54" s="17">
        <v>8000</v>
      </c>
      <c r="G54" s="17">
        <v>8000</v>
      </c>
      <c r="H54" s="34"/>
      <c r="I54" s="34">
        <f t="shared" si="4"/>
        <v>100</v>
      </c>
    </row>
    <row r="55" spans="1:9" ht="15">
      <c r="A55" s="10" t="s">
        <v>71</v>
      </c>
      <c r="B55" s="11">
        <v>10050</v>
      </c>
      <c r="C55" s="11"/>
      <c r="D55" s="11"/>
      <c r="E55" s="11">
        <v>3102</v>
      </c>
      <c r="F55" s="11">
        <v>4500</v>
      </c>
      <c r="G55" s="11"/>
      <c r="H55" s="12"/>
      <c r="I55" s="15"/>
    </row>
    <row r="56" spans="1:9" ht="15">
      <c r="A56" s="10" t="s">
        <v>72</v>
      </c>
      <c r="B56" s="11">
        <f>135951+2-31402+117+297</f>
        <v>104965</v>
      </c>
      <c r="C56" s="11">
        <v>20000</v>
      </c>
      <c r="D56" s="11">
        <v>20000</v>
      </c>
      <c r="E56" s="11">
        <f>35613-15619+503+47</f>
        <v>20544</v>
      </c>
      <c r="F56" s="58">
        <f>66900-22000</f>
        <v>44900</v>
      </c>
      <c r="G56" s="11">
        <f>49200+30800</f>
        <v>80000</v>
      </c>
      <c r="H56" s="12">
        <f t="shared" si="2"/>
        <v>178.173719376392</v>
      </c>
      <c r="I56" s="12">
        <f t="shared" si="4"/>
        <v>400</v>
      </c>
    </row>
    <row r="57" spans="1:9" ht="15">
      <c r="A57" s="16" t="s">
        <v>96</v>
      </c>
      <c r="B57" s="17"/>
      <c r="C57" s="17"/>
      <c r="D57" s="17"/>
      <c r="E57" s="17"/>
      <c r="F57" s="17"/>
      <c r="G57" s="17">
        <v>40000</v>
      </c>
      <c r="H57" s="34"/>
      <c r="I57" s="34"/>
    </row>
    <row r="58" spans="1:9" ht="15">
      <c r="A58" s="10" t="s">
        <v>73</v>
      </c>
      <c r="B58" s="11">
        <v>34470</v>
      </c>
      <c r="C58" s="11">
        <v>25000</v>
      </c>
      <c r="D58" s="11">
        <v>25000</v>
      </c>
      <c r="E58" s="11">
        <f>12709</f>
        <v>12709</v>
      </c>
      <c r="F58" s="58">
        <f>27800+2000</f>
        <v>29800</v>
      </c>
      <c r="G58" s="11">
        <v>30000</v>
      </c>
      <c r="H58" s="12">
        <f t="shared" si="2"/>
        <v>100.67114093959732</v>
      </c>
      <c r="I58" s="12">
        <f t="shared" si="4"/>
        <v>120</v>
      </c>
    </row>
    <row r="59" spans="1:9" ht="15">
      <c r="A59" s="10" t="s">
        <v>53</v>
      </c>
      <c r="B59" s="11">
        <f>SUM(B60:B61)</f>
        <v>2025338</v>
      </c>
      <c r="C59" s="11">
        <f>C60+C61</f>
        <v>1560000</v>
      </c>
      <c r="D59" s="11">
        <f>D60+D61</f>
        <v>1560000</v>
      </c>
      <c r="E59" s="11">
        <f>E60+E61</f>
        <v>1279195</v>
      </c>
      <c r="F59" s="11">
        <f>F60+F61</f>
        <v>1350000</v>
      </c>
      <c r="G59" s="11">
        <f>G60+G61</f>
        <v>1570000</v>
      </c>
      <c r="H59" s="12">
        <f t="shared" si="2"/>
        <v>116.2962962962963</v>
      </c>
      <c r="I59" s="12">
        <f t="shared" si="4"/>
        <v>100.64102564102564</v>
      </c>
    </row>
    <row r="60" spans="1:9" ht="15">
      <c r="A60" s="13" t="s">
        <v>15</v>
      </c>
      <c r="B60" s="14">
        <f>27762+1186059</f>
        <v>1213821</v>
      </c>
      <c r="C60" s="14">
        <v>686000</v>
      </c>
      <c r="D60" s="14">
        <v>686000</v>
      </c>
      <c r="E60" s="14">
        <f>18925+826715</f>
        <v>845640</v>
      </c>
      <c r="F60" s="35">
        <f>480000+20000</f>
        <v>500000</v>
      </c>
      <c r="G60" s="35">
        <v>670000</v>
      </c>
      <c r="H60" s="15">
        <f t="shared" si="2"/>
        <v>134</v>
      </c>
      <c r="I60" s="15">
        <f t="shared" si="4"/>
        <v>97.667638483965</v>
      </c>
    </row>
    <row r="61" spans="1:9" ht="15">
      <c r="A61" s="13" t="s">
        <v>16</v>
      </c>
      <c r="B61" s="14">
        <v>811517</v>
      </c>
      <c r="C61" s="14">
        <v>874000</v>
      </c>
      <c r="D61" s="14">
        <v>874000</v>
      </c>
      <c r="E61" s="14">
        <v>433555</v>
      </c>
      <c r="F61" s="35">
        <f>750000+70000+30000</f>
        <v>850000</v>
      </c>
      <c r="G61" s="35">
        <v>900000</v>
      </c>
      <c r="H61" s="15">
        <f t="shared" si="2"/>
        <v>105.88235294117648</v>
      </c>
      <c r="I61" s="15">
        <f t="shared" si="4"/>
        <v>102.97482837528604</v>
      </c>
    </row>
    <row r="62" spans="1:9" ht="15">
      <c r="A62" s="10" t="s">
        <v>17</v>
      </c>
      <c r="B62" s="11">
        <f>SUM(B63:B73)</f>
        <v>615560</v>
      </c>
      <c r="C62" s="11">
        <f>SUM(C63:C71)</f>
        <v>0</v>
      </c>
      <c r="D62" s="11">
        <f>SUM(D63:D71)</f>
        <v>745000</v>
      </c>
      <c r="E62" s="11">
        <f>SUM(E63:E71)</f>
        <v>116425.8</v>
      </c>
      <c r="F62" s="11">
        <f>SUM(F63:F71)</f>
        <v>330000</v>
      </c>
      <c r="G62" s="11">
        <f>SUM(G63:G71)</f>
        <v>330000</v>
      </c>
      <c r="H62" s="12">
        <f t="shared" si="2"/>
        <v>100</v>
      </c>
      <c r="I62" s="12"/>
    </row>
    <row r="63" spans="1:9" ht="15">
      <c r="A63" s="13" t="s">
        <v>36</v>
      </c>
      <c r="B63" s="14"/>
      <c r="C63" s="14"/>
      <c r="D63" s="14">
        <v>35000</v>
      </c>
      <c r="E63" s="14">
        <f>12009/5*6</f>
        <v>14410.800000000001</v>
      </c>
      <c r="F63" s="35">
        <v>50000</v>
      </c>
      <c r="G63" s="35">
        <v>50000</v>
      </c>
      <c r="H63" s="15">
        <f t="shared" si="2"/>
        <v>100</v>
      </c>
      <c r="I63" s="15"/>
    </row>
    <row r="64" spans="1:9" ht="15">
      <c r="A64" s="13" t="s">
        <v>37</v>
      </c>
      <c r="B64" s="14">
        <v>31402</v>
      </c>
      <c r="C64" s="14"/>
      <c r="D64" s="14">
        <v>20000</v>
      </c>
      <c r="E64" s="14">
        <v>15619</v>
      </c>
      <c r="F64" s="35">
        <f>30000+10000</f>
        <v>40000</v>
      </c>
      <c r="G64" s="35"/>
      <c r="H64" s="15">
        <f t="shared" si="2"/>
        <v>0</v>
      </c>
      <c r="I64" s="15"/>
    </row>
    <row r="65" spans="1:9" ht="15">
      <c r="A65" s="13" t="s">
        <v>18</v>
      </c>
      <c r="B65" s="14">
        <v>42840</v>
      </c>
      <c r="C65" s="14"/>
      <c r="D65" s="14">
        <v>40000</v>
      </c>
      <c r="E65" s="14">
        <v>21349</v>
      </c>
      <c r="F65" s="35">
        <v>58000</v>
      </c>
      <c r="G65" s="35">
        <v>58000</v>
      </c>
      <c r="H65" s="15">
        <f t="shared" si="2"/>
        <v>100</v>
      </c>
      <c r="I65" s="15"/>
    </row>
    <row r="66" spans="1:9" ht="15" hidden="1">
      <c r="A66" s="13" t="s">
        <v>19</v>
      </c>
      <c r="B66" s="14"/>
      <c r="C66" s="14"/>
      <c r="D66" s="14">
        <f>C66</f>
        <v>0</v>
      </c>
      <c r="E66" s="14"/>
      <c r="F66" s="35">
        <f>D66</f>
        <v>0</v>
      </c>
      <c r="G66" s="35">
        <f>F66</f>
        <v>0</v>
      </c>
      <c r="H66" s="15"/>
      <c r="I66" s="15"/>
    </row>
    <row r="67" spans="1:9" ht="15">
      <c r="A67" s="13" t="s">
        <v>40</v>
      </c>
      <c r="B67" s="14">
        <v>121310</v>
      </c>
      <c r="C67" s="14"/>
      <c r="D67" s="14">
        <v>80000</v>
      </c>
      <c r="E67" s="14">
        <f>64160</f>
        <v>64160</v>
      </c>
      <c r="F67" s="35">
        <f>52000+10000</f>
        <v>62000</v>
      </c>
      <c r="G67" s="35">
        <v>80000</v>
      </c>
      <c r="H67" s="15">
        <f t="shared" si="2"/>
        <v>129.03225806451613</v>
      </c>
      <c r="I67" s="15"/>
    </row>
    <row r="68" spans="1:9" ht="15">
      <c r="A68" s="13" t="s">
        <v>39</v>
      </c>
      <c r="B68" s="14">
        <v>75977</v>
      </c>
      <c r="C68" s="14"/>
      <c r="D68" s="14">
        <v>50000</v>
      </c>
      <c r="E68" s="14"/>
      <c r="F68" s="35">
        <f>40000+10000</f>
        <v>50000</v>
      </c>
      <c r="G68" s="35">
        <v>42000</v>
      </c>
      <c r="H68" s="15"/>
      <c r="I68" s="15"/>
    </row>
    <row r="69" spans="1:9" ht="15">
      <c r="A69" s="13" t="s">
        <v>20</v>
      </c>
      <c r="B69" s="14">
        <v>64481</v>
      </c>
      <c r="C69" s="14"/>
      <c r="D69" s="14">
        <v>70000</v>
      </c>
      <c r="E69" s="14">
        <v>887</v>
      </c>
      <c r="F69" s="35">
        <v>70000</v>
      </c>
      <c r="G69" s="35">
        <v>100000</v>
      </c>
      <c r="H69" s="15">
        <f t="shared" si="2"/>
        <v>142.85714285714286</v>
      </c>
      <c r="I69" s="15"/>
    </row>
    <row r="70" spans="1:9" ht="15">
      <c r="A70" s="13" t="s">
        <v>21</v>
      </c>
      <c r="B70" s="14">
        <v>275636</v>
      </c>
      <c r="C70" s="14"/>
      <c r="D70" s="14">
        <v>450000</v>
      </c>
      <c r="E70" s="14"/>
      <c r="F70" s="35"/>
      <c r="G70" s="35"/>
      <c r="H70" s="15"/>
      <c r="I70" s="15"/>
    </row>
    <row r="71" spans="1:9" ht="15.75" customHeight="1" hidden="1">
      <c r="A71" s="13" t="s">
        <v>22</v>
      </c>
      <c r="B71" s="14"/>
      <c r="C71" s="14"/>
      <c r="D71" s="14"/>
      <c r="E71" s="14"/>
      <c r="F71" s="35"/>
      <c r="G71" s="35"/>
      <c r="H71" s="15"/>
      <c r="I71" s="15"/>
    </row>
    <row r="72" spans="1:9" ht="15.75" customHeight="1" hidden="1">
      <c r="A72" s="13"/>
      <c r="B72" s="14"/>
      <c r="C72" s="14"/>
      <c r="D72" s="14"/>
      <c r="E72" s="14"/>
      <c r="F72" s="35"/>
      <c r="G72" s="35"/>
      <c r="H72" s="15"/>
      <c r="I72" s="15"/>
    </row>
    <row r="73" spans="1:9" ht="15.75" customHeight="1">
      <c r="A73" s="13" t="s">
        <v>62</v>
      </c>
      <c r="B73" s="14">
        <v>3914</v>
      </c>
      <c r="C73" s="14"/>
      <c r="D73" s="14"/>
      <c r="E73" s="14"/>
      <c r="F73" s="35"/>
      <c r="G73" s="35"/>
      <c r="H73" s="15"/>
      <c r="I73" s="15"/>
    </row>
    <row r="74" spans="1:12" ht="15">
      <c r="A74" s="18" t="s">
        <v>31</v>
      </c>
      <c r="B74" s="40"/>
      <c r="C74" s="11">
        <f>C75+C93</f>
        <v>8630065</v>
      </c>
      <c r="D74" s="11">
        <f>D75+D93</f>
        <v>9844670</v>
      </c>
      <c r="E74" s="11">
        <f>E75+E93</f>
        <v>5368622.8</v>
      </c>
      <c r="F74" s="11">
        <f>F75+F93</f>
        <v>13403260</v>
      </c>
      <c r="G74" s="11">
        <f>G75+G93</f>
        <v>11735035</v>
      </c>
      <c r="H74" s="12">
        <f t="shared" si="2"/>
        <v>87.55358770925879</v>
      </c>
      <c r="I74" s="12">
        <f t="shared" si="4"/>
        <v>135.97852391610027</v>
      </c>
      <c r="L74" s="21"/>
    </row>
    <row r="75" spans="1:9" ht="15">
      <c r="A75" s="10" t="s">
        <v>23</v>
      </c>
      <c r="B75" s="11"/>
      <c r="C75" s="11">
        <f>C76+C77+C90+C91+C92</f>
        <v>8630065</v>
      </c>
      <c r="D75" s="11">
        <f>D76+D77+D90+D91+D92</f>
        <v>9099670</v>
      </c>
      <c r="E75" s="11">
        <f>E76+E77+E90+E91+E92</f>
        <v>5252197</v>
      </c>
      <c r="F75" s="11">
        <f>F76+F77+F90+F91+F92</f>
        <v>13073260</v>
      </c>
      <c r="G75" s="11">
        <f>G76+G77+G90+G91+G92</f>
        <v>11405035</v>
      </c>
      <c r="H75" s="12">
        <f t="shared" si="2"/>
        <v>87.23941082790367</v>
      </c>
      <c r="I75" s="12">
        <f t="shared" si="4"/>
        <v>132.15468249659764</v>
      </c>
    </row>
    <row r="76" spans="1:10" ht="15">
      <c r="A76" s="13" t="s">
        <v>24</v>
      </c>
      <c r="B76" s="41"/>
      <c r="C76" s="45">
        <f>C11-C47</f>
        <v>4318000</v>
      </c>
      <c r="D76" s="45">
        <f>D11-D47</f>
        <v>4468000</v>
      </c>
      <c r="E76" s="35">
        <f>2144843-887-14411-15619-21349+3653</f>
        <v>2096230</v>
      </c>
      <c r="F76" s="45">
        <f>F11-F47</f>
        <v>4470000</v>
      </c>
      <c r="G76" s="45">
        <f>G11-G47-G57*0.7</f>
        <v>4960000</v>
      </c>
      <c r="H76" s="15">
        <f t="shared" si="2"/>
        <v>110.9619686800895</v>
      </c>
      <c r="I76" s="15">
        <f t="shared" si="4"/>
        <v>114.86799444187123</v>
      </c>
      <c r="J76" s="31"/>
    </row>
    <row r="77" spans="1:10" ht="15">
      <c r="A77" s="13" t="s">
        <v>25</v>
      </c>
      <c r="B77" s="41"/>
      <c r="C77" s="45">
        <f>C78+C79</f>
        <v>4312065</v>
      </c>
      <c r="D77" s="45">
        <f>D78+D79</f>
        <v>4312065</v>
      </c>
      <c r="E77" s="35">
        <f>E78+E79</f>
        <v>2277567</v>
      </c>
      <c r="F77" s="45">
        <f>F78+F79</f>
        <v>5684302</v>
      </c>
      <c r="G77" s="45">
        <f>G78+G79</f>
        <v>5140056</v>
      </c>
      <c r="H77" s="15">
        <f t="shared" si="2"/>
        <v>90.42545593108882</v>
      </c>
      <c r="I77" s="15">
        <f t="shared" si="4"/>
        <v>119.2017281743202</v>
      </c>
      <c r="J77" s="21"/>
    </row>
    <row r="78" spans="1:11" ht="15">
      <c r="A78" s="13" t="s">
        <v>26</v>
      </c>
      <c r="B78" s="41"/>
      <c r="C78" s="45">
        <v>2270405</v>
      </c>
      <c r="D78" s="45">
        <v>2270405</v>
      </c>
      <c r="E78" s="35">
        <v>1111406</v>
      </c>
      <c r="F78" s="45">
        <f>D78</f>
        <v>2270405</v>
      </c>
      <c r="G78" s="45">
        <v>2270405</v>
      </c>
      <c r="H78" s="15">
        <f aca="true" t="shared" si="5" ref="H78:H83">G78/F78*100</f>
        <v>100</v>
      </c>
      <c r="I78" s="15">
        <f t="shared" si="4"/>
        <v>100</v>
      </c>
      <c r="J78" s="14"/>
      <c r="K78" s="30"/>
    </row>
    <row r="79" spans="1:11" ht="15">
      <c r="A79" s="13" t="s">
        <v>27</v>
      </c>
      <c r="B79" s="41"/>
      <c r="C79" s="45">
        <f>C80+C86+C85</f>
        <v>2041660</v>
      </c>
      <c r="D79" s="45">
        <f>D80+D86+D85</f>
        <v>2041660</v>
      </c>
      <c r="E79" s="35">
        <v>1166161</v>
      </c>
      <c r="F79" s="45">
        <f>F80+F86+F85</f>
        <v>3413897</v>
      </c>
      <c r="G79" s="45">
        <f>G80+G86+G85</f>
        <v>2869651</v>
      </c>
      <c r="H79" s="15">
        <f t="shared" si="5"/>
        <v>84.05792559060804</v>
      </c>
      <c r="I79" s="15">
        <f aca="true" t="shared" si="6" ref="I79:I94">G79/C79*100</f>
        <v>140.55479364830578</v>
      </c>
      <c r="J79" s="30"/>
      <c r="K79" s="30"/>
    </row>
    <row r="80" spans="1:11" ht="15">
      <c r="A80" s="16" t="s">
        <v>93</v>
      </c>
      <c r="B80" s="42"/>
      <c r="C80" s="46">
        <f>C81+C82+C83+C84</f>
        <v>1851024</v>
      </c>
      <c r="D80" s="46">
        <f>D81+D82+D83+D84</f>
        <v>1851024</v>
      </c>
      <c r="E80" s="29"/>
      <c r="F80" s="46">
        <f>F81+F82+F83+F84</f>
        <v>1851024</v>
      </c>
      <c r="G80" s="46">
        <f>G81+G82+G83+G84</f>
        <v>1919549</v>
      </c>
      <c r="H80" s="15">
        <f t="shared" si="5"/>
        <v>103.7020049442903</v>
      </c>
      <c r="I80" s="15">
        <f t="shared" si="6"/>
        <v>103.7020049442903</v>
      </c>
      <c r="J80" s="28"/>
      <c r="K80" s="30"/>
    </row>
    <row r="81" spans="1:11" ht="15">
      <c r="A81" s="16" t="s">
        <v>33</v>
      </c>
      <c r="B81" s="42"/>
      <c r="C81" s="47">
        <f>D81</f>
        <v>783471</v>
      </c>
      <c r="D81" s="46">
        <f>1002200-158000-60729</f>
        <v>783471</v>
      </c>
      <c r="E81" s="29"/>
      <c r="F81" s="46">
        <f>D81</f>
        <v>783471</v>
      </c>
      <c r="G81" s="46">
        <v>852500</v>
      </c>
      <c r="H81" s="34">
        <f t="shared" si="5"/>
        <v>108.81066433856519</v>
      </c>
      <c r="I81" s="15">
        <f t="shared" si="6"/>
        <v>108.81066433856519</v>
      </c>
      <c r="J81" s="28"/>
      <c r="K81" s="30"/>
    </row>
    <row r="82" spans="1:11" ht="15">
      <c r="A82" s="16" t="s">
        <v>34</v>
      </c>
      <c r="B82" s="42"/>
      <c r="C82" s="47">
        <f>D82</f>
        <v>501638</v>
      </c>
      <c r="D82" s="46">
        <v>501638</v>
      </c>
      <c r="E82" s="29"/>
      <c r="F82" s="46">
        <f>D82</f>
        <v>501638</v>
      </c>
      <c r="G82" s="46">
        <v>579444</v>
      </c>
      <c r="H82" s="34">
        <f t="shared" si="5"/>
        <v>115.51038796901352</v>
      </c>
      <c r="I82" s="15">
        <f t="shared" si="6"/>
        <v>115.51038796901352</v>
      </c>
      <c r="J82" s="29"/>
      <c r="K82" s="30"/>
    </row>
    <row r="83" spans="1:11" ht="15">
      <c r="A83" s="16" t="s">
        <v>54</v>
      </c>
      <c r="B83" s="42"/>
      <c r="C83" s="47">
        <f>D83</f>
        <v>158000</v>
      </c>
      <c r="D83" s="46">
        <v>158000</v>
      </c>
      <c r="E83" s="29"/>
      <c r="F83" s="46">
        <f>D83</f>
        <v>158000</v>
      </c>
      <c r="G83" s="46">
        <v>152000</v>
      </c>
      <c r="H83" s="34">
        <f t="shared" si="5"/>
        <v>96.20253164556962</v>
      </c>
      <c r="I83" s="15">
        <f t="shared" si="6"/>
        <v>96.20253164556962</v>
      </c>
      <c r="J83" s="30"/>
      <c r="K83" s="30"/>
    </row>
    <row r="84" spans="1:11" ht="15">
      <c r="A84" s="16" t="s">
        <v>63</v>
      </c>
      <c r="B84" s="42"/>
      <c r="C84" s="47">
        <v>407915</v>
      </c>
      <c r="D84" s="46">
        <v>407915</v>
      </c>
      <c r="E84" s="29"/>
      <c r="F84" s="46">
        <v>407915</v>
      </c>
      <c r="G84" s="46">
        <v>335605</v>
      </c>
      <c r="H84" s="34"/>
      <c r="I84" s="15">
        <f t="shared" si="6"/>
        <v>82.27326771508771</v>
      </c>
      <c r="J84" s="30"/>
      <c r="K84" s="30"/>
    </row>
    <row r="85" spans="1:11" ht="15">
      <c r="A85" s="16" t="s">
        <v>94</v>
      </c>
      <c r="B85" s="42"/>
      <c r="C85" s="46">
        <v>190636</v>
      </c>
      <c r="D85" s="46">
        <v>190636</v>
      </c>
      <c r="E85" s="17"/>
      <c r="F85" s="46">
        <v>190636</v>
      </c>
      <c r="G85" s="46">
        <v>950102</v>
      </c>
      <c r="H85" s="15"/>
      <c r="I85" s="15">
        <f t="shared" si="6"/>
        <v>498.3854046455024</v>
      </c>
      <c r="J85" s="28"/>
      <c r="K85" s="30"/>
    </row>
    <row r="86" spans="1:11" ht="15">
      <c r="A86" s="16" t="s">
        <v>95</v>
      </c>
      <c r="B86" s="42"/>
      <c r="C86" s="46"/>
      <c r="D86" s="46"/>
      <c r="E86" s="17"/>
      <c r="F86" s="46">
        <f>SUM(F87:F89)</f>
        <v>1372237</v>
      </c>
      <c r="G86" s="46"/>
      <c r="H86" s="15"/>
      <c r="I86" s="15"/>
      <c r="J86" s="29"/>
      <c r="K86" s="30"/>
    </row>
    <row r="87" spans="1:11" ht="15">
      <c r="A87" s="16" t="s">
        <v>91</v>
      </c>
      <c r="B87" s="42"/>
      <c r="C87" s="46"/>
      <c r="D87" s="46"/>
      <c r="E87" s="17"/>
      <c r="F87" s="46">
        <v>21000</v>
      </c>
      <c r="G87" s="46"/>
      <c r="H87" s="15"/>
      <c r="I87" s="15"/>
      <c r="J87" s="52"/>
      <c r="K87" s="30"/>
    </row>
    <row r="88" spans="1:11" ht="15">
      <c r="A88" s="16" t="s">
        <v>92</v>
      </c>
      <c r="B88" s="42"/>
      <c r="C88" s="46"/>
      <c r="D88" s="46"/>
      <c r="E88" s="17"/>
      <c r="F88" s="46">
        <v>383556</v>
      </c>
      <c r="G88" s="46"/>
      <c r="H88" s="15"/>
      <c r="I88" s="15"/>
      <c r="J88" s="52"/>
      <c r="K88" s="30"/>
    </row>
    <row r="89" spans="1:10" ht="15">
      <c r="A89" s="16" t="s">
        <v>64</v>
      </c>
      <c r="B89" s="42"/>
      <c r="C89" s="46"/>
      <c r="D89" s="46"/>
      <c r="E89" s="29"/>
      <c r="F89" s="46">
        <v>967681</v>
      </c>
      <c r="G89" s="46"/>
      <c r="H89" s="15"/>
      <c r="I89" s="15"/>
      <c r="J89" s="21"/>
    </row>
    <row r="90" spans="1:10" ht="15">
      <c r="A90" s="13" t="s">
        <v>28</v>
      </c>
      <c r="B90" s="41"/>
      <c r="C90" s="45"/>
      <c r="D90" s="45">
        <v>60000</v>
      </c>
      <c r="E90" s="35">
        <v>24000</v>
      </c>
      <c r="F90" s="45">
        <v>345000</v>
      </c>
      <c r="G90" s="45"/>
      <c r="H90" s="15"/>
      <c r="I90" s="15"/>
      <c r="J90" s="21"/>
    </row>
    <row r="91" spans="1:11" ht="15">
      <c r="A91" s="13" t="s">
        <v>29</v>
      </c>
      <c r="B91" s="41"/>
      <c r="C91" s="45"/>
      <c r="D91" s="45">
        <f>256425+1350+1830</f>
        <v>259605</v>
      </c>
      <c r="E91" s="35">
        <v>854400</v>
      </c>
      <c r="F91" s="45">
        <v>2573958</v>
      </c>
      <c r="G91" s="45">
        <v>1304979</v>
      </c>
      <c r="H91" s="15"/>
      <c r="I91" s="15"/>
      <c r="J91" s="53" t="s">
        <v>77</v>
      </c>
      <c r="K91" s="37">
        <f>SUM(K92:K100)</f>
        <v>259605</v>
      </c>
    </row>
    <row r="92" spans="1:11" ht="15">
      <c r="A92" s="13" t="s">
        <v>30</v>
      </c>
      <c r="B92" s="41"/>
      <c r="C92" s="45"/>
      <c r="D92" s="45"/>
      <c r="E92" s="35"/>
      <c r="F92" s="45"/>
      <c r="G92" s="45"/>
      <c r="H92" s="15"/>
      <c r="I92" s="15"/>
      <c r="J92" s="1" t="s">
        <v>78</v>
      </c>
      <c r="K92" s="21">
        <v>140000</v>
      </c>
    </row>
    <row r="93" spans="1:11" ht="15">
      <c r="A93" s="19" t="s">
        <v>0</v>
      </c>
      <c r="B93" s="43"/>
      <c r="C93" s="48">
        <f>C62</f>
        <v>0</v>
      </c>
      <c r="D93" s="48">
        <f>D62</f>
        <v>745000</v>
      </c>
      <c r="E93" s="49">
        <f>E62</f>
        <v>116425.8</v>
      </c>
      <c r="F93" s="48">
        <f>F62</f>
        <v>330000</v>
      </c>
      <c r="G93" s="48">
        <f>G62</f>
        <v>330000</v>
      </c>
      <c r="H93" s="20">
        <f>G93/F93*100</f>
        <v>100</v>
      </c>
      <c r="I93" s="55"/>
      <c r="J93" s="1" t="s">
        <v>79</v>
      </c>
      <c r="K93" s="21">
        <v>10000</v>
      </c>
    </row>
    <row r="94" spans="1:11" ht="15">
      <c r="A94" s="36" t="s">
        <v>35</v>
      </c>
      <c r="B94" s="44"/>
      <c r="C94" s="50">
        <f aca="true" t="shared" si="7" ref="C94:H94">C74</f>
        <v>8630065</v>
      </c>
      <c r="D94" s="50">
        <f t="shared" si="7"/>
        <v>9844670</v>
      </c>
      <c r="E94" s="51">
        <f t="shared" si="7"/>
        <v>5368622.8</v>
      </c>
      <c r="F94" s="50">
        <f t="shared" si="7"/>
        <v>13403260</v>
      </c>
      <c r="G94" s="50">
        <f t="shared" si="7"/>
        <v>11735035</v>
      </c>
      <c r="H94" s="22">
        <f t="shared" si="7"/>
        <v>87.55358770925879</v>
      </c>
      <c r="I94" s="56">
        <f t="shared" si="6"/>
        <v>135.97852391610027</v>
      </c>
      <c r="J94" s="1" t="s">
        <v>80</v>
      </c>
      <c r="K94" s="21">
        <v>51200</v>
      </c>
    </row>
    <row r="95" spans="3:11" ht="15.75" customHeight="1" hidden="1">
      <c r="C95" s="24"/>
      <c r="D95" s="57">
        <f>D76-D51</f>
        <v>3990000</v>
      </c>
      <c r="E95" s="24"/>
      <c r="F95" s="57">
        <f>F76-F51</f>
        <v>4020000</v>
      </c>
      <c r="G95" s="24"/>
      <c r="J95" s="1" t="s">
        <v>81</v>
      </c>
      <c r="K95" s="21">
        <v>41337</v>
      </c>
    </row>
    <row r="96" spans="4:9" ht="16.5" customHeight="1" hidden="1">
      <c r="D96" s="62" t="s">
        <v>74</v>
      </c>
      <c r="E96" s="62"/>
      <c r="F96" s="62"/>
      <c r="G96" s="62"/>
      <c r="H96" s="62"/>
      <c r="I96" s="62"/>
    </row>
    <row r="97" spans="3:8" ht="15" hidden="1">
      <c r="C97" s="27"/>
      <c r="D97" s="27"/>
      <c r="E97" s="27"/>
      <c r="F97" s="27"/>
      <c r="G97" s="27"/>
      <c r="H97" s="25"/>
    </row>
    <row r="98" spans="3:9" ht="17.25" hidden="1">
      <c r="C98" s="26"/>
      <c r="D98" s="61" t="s">
        <v>57</v>
      </c>
      <c r="E98" s="61"/>
      <c r="F98" s="61"/>
      <c r="G98" s="61"/>
      <c r="H98" s="61"/>
      <c r="I98" s="61"/>
    </row>
    <row r="99" spans="1:9" ht="17.25" hidden="1">
      <c r="A99" s="1" t="s">
        <v>32</v>
      </c>
      <c r="C99" s="26"/>
      <c r="D99" s="61" t="s">
        <v>56</v>
      </c>
      <c r="E99" s="61"/>
      <c r="F99" s="61"/>
      <c r="G99" s="61"/>
      <c r="H99" s="61"/>
      <c r="I99" s="61"/>
    </row>
    <row r="100" spans="10:11" ht="15">
      <c r="J100" s="28" t="s">
        <v>82</v>
      </c>
      <c r="K100" s="30">
        <f>13888+1350+1830</f>
        <v>17068</v>
      </c>
    </row>
  </sheetData>
  <sheetProtection/>
  <mergeCells count="13">
    <mergeCell ref="A4:I4"/>
    <mergeCell ref="A3:I3"/>
    <mergeCell ref="A6:A7"/>
    <mergeCell ref="H6:I6"/>
    <mergeCell ref="C6:D6"/>
    <mergeCell ref="C5:I5"/>
    <mergeCell ref="G6:G7"/>
    <mergeCell ref="F6:F7"/>
    <mergeCell ref="B6:B7"/>
    <mergeCell ref="D99:I99"/>
    <mergeCell ref="D96:I96"/>
    <mergeCell ref="D98:I98"/>
    <mergeCell ref="E6:E7"/>
  </mergeCells>
  <printOptions horizontalCentered="1"/>
  <pageMargins left="0.3937007874015748" right="0.1968503937007874" top="0.5905511811023623" bottom="0.3937007874015748" header="0.31496062992125984" footer="0.31496062992125984"/>
  <pageSetup horizontalDpi="600" verticalDpi="600" orientation="portrait" scale="95" r:id="rId1"/>
  <ignoredErrors>
    <ignoredError sqref="H59:H61" evalError="1"/>
    <ignoredError sqref="F8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2013-12-08T01:50:26Z</cp:lastPrinted>
  <dcterms:created xsi:type="dcterms:W3CDTF">2008-11-12T08:19:45Z</dcterms:created>
  <dcterms:modified xsi:type="dcterms:W3CDTF">2013-12-08T03:32:59Z</dcterms:modified>
  <cp:category/>
  <cp:version/>
  <cp:contentType/>
  <cp:contentStatus/>
</cp:coreProperties>
</file>